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<sst xmlns="http://schemas.openxmlformats.org/spreadsheetml/2006/main" count="628" uniqueCount="158">
  <si>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</si>
  <si>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</si>
  <si>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</si>
  <si>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</si>
  <si>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</si>
  <si>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</si>
  <si>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</si>
  <si>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</si>
  <si>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</si>
  <si>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</si>
  <si>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</si>
  <si>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</si>
  <si>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</si>
  <si>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</si>
  <si>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</si>
  <si>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</si>
  <si>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</si>
  <si>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</si>
  <si>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</si>
  <si>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</si>
  <si>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</si>
  <si>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</si>
  <si>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</si>
  <si>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</si>
  <si>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</si>
  <si>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</si>
  <si>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</si>
  <si>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</si>
  <si>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</si>
  <si>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</si>
  <si>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</si>
  <si>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</si>
  <si>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</si>
  <si>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</si>
  <si>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</si>
  <si>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</si>
  <si>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</si>
  <si>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</si>
  <si>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</si>
  <si>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</si>
  <si>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</si>
  <si>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</si>
  <si>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</si>
  <si>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</si>
  <si>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</si>
  <si>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</si>
  <si>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</si>
  <si>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</si>
  <si>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</si>
  <si>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</si>
  <si>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</si>
  <si>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</si>
  <si>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</si>
  <si>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</si>
  <si>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</si>
  <si>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</si>
  <si>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</si>
  <si>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</si>
  <si>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</si>
  <si>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</si>
  <si>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</si>
  <si>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</si>
  <si>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</si>
  <si>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</si>
  <si>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</si>
  <si>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</si>
  <si>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</si>
  <si>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</si>
  <si>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</si>
  <si>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</si>
  <si>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</si>
  <si>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</si>
  <si>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</si>
  <si>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</si>
  <si>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</si>
  <si>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</si>
  <si>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</si>
  <si>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</si>
  <si>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</si>
  <si>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</si>
  <si>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</si>
  <si>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</si>
  <si>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</si>
  <si>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</si>
  <si>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</si>
  <si>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</si>
  <si>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</si>
  <si>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</si>
  <si>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</si>
  <si>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</si>
  <si>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</si>
  <si>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</si>
  <si>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</si>
  <si>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</si>
  <si>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</si>
  <si>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</si>
  <si>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</si>
  <si>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</si>
  <si>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</si>
  <si>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</si>
  <si>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</si>
  <si>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</si>
  <si>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</si>
  <si>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</si>
  <si>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</si>
  <si>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</si>
  <si>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</si>
  <si>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</si>
  <si>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</si>
  <si>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</si>
  <si>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</si>
  <si>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</si>
  <si>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</si>
  <si>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</si>
  <si>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</si>
  <si>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</si>
  <si>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</si>
  <si>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</si>
  <si>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</si>
  <si>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</si>
  <si>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</si>
  <si>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</si>
  <si>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</si>
  <si>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</si>
  <si>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</si>
  <si>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</si>
  <si>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</si>
  <si>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</si>
  <si>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</si>
  <si>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</si>
  <si>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</si>
  <si>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</si>
  <si>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</si>
  <si>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</si>
  <si>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</si>
  <si>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</si>
  <si>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</si>
  <si>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</si>
  <si>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</si>
  <si>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</si>
  <si>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</si>
  <si>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</si>
  <si>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</si>
  <si>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</si>
  <si>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</si>
  <si>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</si>
  <si>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</si>
  <si>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</si>
  <si>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</si>
  <si>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</si>
  <si>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</si>
  <si>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</si>
  <si>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</si>
  <si>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</si>
  <si>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</si>
  <si>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</si>
  <si>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28.04.2016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</si>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</sst>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2" sqref="E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12" t="s">
        <v>156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/>
      <c r="C3" s="217" t="s">
        <v>0</v>
      </c>
      <c r="D3" s="218" t="s">
        <v>121</v>
      </c>
      <c r="E3" s="34"/>
      <c r="F3" s="219" t="s">
        <v>26</v>
      </c>
      <c r="G3" s="220"/>
      <c r="H3" s="220"/>
      <c r="I3" s="220"/>
      <c r="J3" s="221"/>
      <c r="K3" s="89"/>
      <c r="L3" s="89"/>
      <c r="M3" s="222" t="s">
        <v>153</v>
      </c>
      <c r="N3" s="223" t="s">
        <v>154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150</v>
      </c>
      <c r="F4" s="206" t="s">
        <v>34</v>
      </c>
      <c r="G4" s="200" t="s">
        <v>151</v>
      </c>
      <c r="H4" s="208" t="s">
        <v>152</v>
      </c>
      <c r="I4" s="200" t="s">
        <v>122</v>
      </c>
      <c r="J4" s="208" t="s">
        <v>123</v>
      </c>
      <c r="K4" s="91" t="s">
        <v>65</v>
      </c>
      <c r="L4" s="96" t="s">
        <v>64</v>
      </c>
      <c r="M4" s="208"/>
      <c r="N4" s="210" t="s">
        <v>157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78.75" customHeight="1">
      <c r="A5" s="215"/>
      <c r="B5" s="216"/>
      <c r="C5" s="217"/>
      <c r="D5" s="218"/>
      <c r="E5" s="225"/>
      <c r="F5" s="207"/>
      <c r="G5" s="201"/>
      <c r="H5" s="209"/>
      <c r="I5" s="201"/>
      <c r="J5" s="209"/>
      <c r="K5" s="203" t="s">
        <v>155</v>
      </c>
      <c r="L5" s="204"/>
      <c r="M5" s="209"/>
      <c r="N5" s="211"/>
      <c r="O5" s="201"/>
      <c r="P5" s="202"/>
      <c r="Q5" s="203" t="s">
        <v>120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271694.25999999995</v>
      </c>
      <c r="G8" s="15">
        <f aca="true" t="shared" si="0" ref="G8:G21">F8-E8</f>
        <v>19.57999999995809</v>
      </c>
      <c r="H8" s="38">
        <f>F8/E8*100</f>
        <v>100.00720714937437</v>
      </c>
      <c r="I8" s="28">
        <f>F8-D8</f>
        <v>-569355.74</v>
      </c>
      <c r="J8" s="28">
        <f>F8/D8*100</f>
        <v>32.304174543725104</v>
      </c>
      <c r="K8" s="15">
        <f>F8-198537.14</f>
        <v>73157.11999999994</v>
      </c>
      <c r="L8" s="15">
        <f>F8/198537.14*100</f>
        <v>136.84807789615581</v>
      </c>
      <c r="M8" s="15">
        <f>M9+M15+M18+M19+M20+M32+M17</f>
        <v>71360.49999999999</v>
      </c>
      <c r="N8" s="15">
        <f>N9+N15+N18+N19+N20+N32+N17</f>
        <v>61906.54999999999</v>
      </c>
      <c r="O8" s="15">
        <f>N8-M8</f>
        <v>-9453.949999999997</v>
      </c>
      <c r="P8" s="15">
        <f>N8/M8*100</f>
        <v>86.75184450781595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147015.1</v>
      </c>
      <c r="G9" s="36">
        <f t="shared" si="0"/>
        <v>1231.8300000000163</v>
      </c>
      <c r="H9" s="32">
        <f>F9/E9*100</f>
        <v>100.84497350073161</v>
      </c>
      <c r="I9" s="42">
        <f>F9-D9</f>
        <v>-312684.9</v>
      </c>
      <c r="J9" s="42">
        <f>F9/D9*100</f>
        <v>31.98066130084838</v>
      </c>
      <c r="K9" s="106">
        <f>F9-110765.65</f>
        <v>36249.45000000001</v>
      </c>
      <c r="L9" s="106">
        <f>F9/110765.65*100</f>
        <v>132.7262558383398</v>
      </c>
      <c r="M9" s="32">
        <f>E9-березень!E9</f>
        <v>39799.999999999985</v>
      </c>
      <c r="N9" s="178">
        <f>F9-березень!F9</f>
        <v>34733.28</v>
      </c>
      <c r="O9" s="40">
        <f>N9-M9</f>
        <v>-5066.719999999987</v>
      </c>
      <c r="P9" s="42">
        <f>N9/M9*100</f>
        <v>87.2695477386935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129550.91</v>
      </c>
      <c r="G10" s="109">
        <f t="shared" si="0"/>
        <v>-1365.929999999993</v>
      </c>
      <c r="H10" s="32">
        <f aca="true" t="shared" si="1" ref="H10:H31">F10/E10*100</f>
        <v>98.95664301093733</v>
      </c>
      <c r="I10" s="110">
        <f aca="true" t="shared" si="2" ref="I10:I32">F10-D10</f>
        <v>-281889.08999999997</v>
      </c>
      <c r="J10" s="110">
        <f aca="true" t="shared" si="3" ref="J10:J31">F10/D10*100</f>
        <v>31.48719375850671</v>
      </c>
      <c r="K10" s="112">
        <f>F10-98351.31</f>
        <v>31199.600000000006</v>
      </c>
      <c r="L10" s="112">
        <f>F10/98351.31*100</f>
        <v>131.72260745688084</v>
      </c>
      <c r="M10" s="111">
        <f>E10-березень!E10</f>
        <v>36300</v>
      </c>
      <c r="N10" s="179">
        <f>F10-березень!F10</f>
        <v>31086.53</v>
      </c>
      <c r="O10" s="112">
        <f aca="true" t="shared" si="4" ref="O10:O32">N10-M10</f>
        <v>-5213.470000000001</v>
      </c>
      <c r="P10" s="42">
        <f aca="true" t="shared" si="5" ref="P10:P25">N10/M10*100</f>
        <v>85.63782369146004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9918.85</v>
      </c>
      <c r="G11" s="109">
        <f t="shared" si="0"/>
        <v>1283.9099999999999</v>
      </c>
      <c r="H11" s="32">
        <f t="shared" si="1"/>
        <v>114.86877731634499</v>
      </c>
      <c r="I11" s="110">
        <f t="shared" si="2"/>
        <v>-13081.15</v>
      </c>
      <c r="J11" s="110">
        <f t="shared" si="3"/>
        <v>43.12543478260869</v>
      </c>
      <c r="K11" s="112">
        <f>F11-6301.46</f>
        <v>3617.3900000000003</v>
      </c>
      <c r="L11" s="112">
        <f>F11/6301.46*100</f>
        <v>157.4055853722788</v>
      </c>
      <c r="M11" s="111">
        <f>E11-березень!E11</f>
        <v>1550.000000000001</v>
      </c>
      <c r="N11" s="179">
        <f>F11-березень!F11</f>
        <v>1841.7400000000007</v>
      </c>
      <c r="O11" s="112">
        <f t="shared" si="4"/>
        <v>291.7399999999998</v>
      </c>
      <c r="P11" s="42">
        <f t="shared" si="5"/>
        <v>118.82193548387094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2965.3</v>
      </c>
      <c r="G12" s="109">
        <f t="shared" si="0"/>
        <v>1274.6900000000003</v>
      </c>
      <c r="H12" s="32">
        <f t="shared" si="1"/>
        <v>175.39822904158854</v>
      </c>
      <c r="I12" s="110">
        <f t="shared" si="2"/>
        <v>-3534.7</v>
      </c>
      <c r="J12" s="110">
        <f t="shared" si="3"/>
        <v>45.620000000000005</v>
      </c>
      <c r="K12" s="112">
        <f>F12-1718.24</f>
        <v>1247.0600000000002</v>
      </c>
      <c r="L12" s="112">
        <f>F12/1718.24*100</f>
        <v>172.5777539808176</v>
      </c>
      <c r="M12" s="111">
        <f>E12-березень!E12</f>
        <v>585</v>
      </c>
      <c r="N12" s="179">
        <f>F12-березень!F12</f>
        <v>585.8300000000004</v>
      </c>
      <c r="O12" s="112">
        <f t="shared" si="4"/>
        <v>0.830000000000382</v>
      </c>
      <c r="P12" s="42">
        <f t="shared" si="5"/>
        <v>100.14188034188041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3153.69</v>
      </c>
      <c r="G13" s="109">
        <f t="shared" si="0"/>
        <v>488.8499999999999</v>
      </c>
      <c r="H13" s="32">
        <f t="shared" si="1"/>
        <v>118.34444094204531</v>
      </c>
      <c r="I13" s="110">
        <f t="shared" si="2"/>
        <v>-9246.31</v>
      </c>
      <c r="J13" s="110">
        <f t="shared" si="3"/>
        <v>25.43298387096774</v>
      </c>
      <c r="K13" s="112">
        <f>F13-1662.77</f>
        <v>1490.92</v>
      </c>
      <c r="L13" s="112">
        <f>F13/1662.77*100</f>
        <v>189.6648363874739</v>
      </c>
      <c r="M13" s="111">
        <f>E13-березень!E13</f>
        <v>755.0000000000002</v>
      </c>
      <c r="N13" s="179">
        <f>F13-березень!F13</f>
        <v>728.75</v>
      </c>
      <c r="O13" s="112">
        <f t="shared" si="4"/>
        <v>-26.250000000000227</v>
      </c>
      <c r="P13" s="42">
        <f t="shared" si="5"/>
        <v>96.52317880794699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>
        <f>F15/E15*100</f>
        <v>154.86666666666667</v>
      </c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22989.59</v>
      </c>
      <c r="G19" s="36">
        <f t="shared" si="0"/>
        <v>-5570.810000000001</v>
      </c>
      <c r="H19" s="32">
        <f t="shared" si="1"/>
        <v>80.49463592946877</v>
      </c>
      <c r="I19" s="42">
        <f t="shared" si="2"/>
        <v>-86910.41</v>
      </c>
      <c r="J19" s="42">
        <f t="shared" si="3"/>
        <v>20.91864422202002</v>
      </c>
      <c r="K19" s="185">
        <f>F19-16357.62</f>
        <v>6631.969999999999</v>
      </c>
      <c r="L19" s="185">
        <f>F19/16357.62*100</f>
        <v>140.5436120902674</v>
      </c>
      <c r="M19" s="32">
        <f>E19-березень!E19</f>
        <v>8500</v>
      </c>
      <c r="N19" s="178">
        <f>F19-березень!F19</f>
        <v>4718.700000000001</v>
      </c>
      <c r="O19" s="40">
        <f t="shared" si="4"/>
        <v>-3781.2999999999993</v>
      </c>
      <c r="P19" s="42">
        <f t="shared" si="5"/>
        <v>55.51411764705884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101397.88</v>
      </c>
      <c r="G20" s="36">
        <f t="shared" si="0"/>
        <v>4196.869999999995</v>
      </c>
      <c r="H20" s="32">
        <f t="shared" si="1"/>
        <v>104.31772262448713</v>
      </c>
      <c r="I20" s="42">
        <f t="shared" si="2"/>
        <v>-169542.12</v>
      </c>
      <c r="J20" s="42">
        <f t="shared" si="3"/>
        <v>37.424477744149996</v>
      </c>
      <c r="K20" s="132">
        <f>F20-70294.13</f>
        <v>31103.75</v>
      </c>
      <c r="L20" s="132">
        <f>F20/70294.13*100</f>
        <v>144.24800477650126</v>
      </c>
      <c r="M20" s="32">
        <f>M21+M25+M26+M27</f>
        <v>23050.5</v>
      </c>
      <c r="N20" s="178">
        <f>F20-березень!F20</f>
        <v>22453.789999999994</v>
      </c>
      <c r="O20" s="40">
        <f t="shared" si="4"/>
        <v>-596.7100000000064</v>
      </c>
      <c r="P20" s="42">
        <f t="shared" si="5"/>
        <v>97.41129259668985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51074.159999999996</v>
      </c>
      <c r="G21" s="36">
        <f t="shared" si="0"/>
        <v>-612.1000000000058</v>
      </c>
      <c r="H21" s="32">
        <f t="shared" si="1"/>
        <v>98.81573942475234</v>
      </c>
      <c r="I21" s="42">
        <f t="shared" si="2"/>
        <v>-110325.84</v>
      </c>
      <c r="J21" s="42">
        <f t="shared" si="3"/>
        <v>31.64446096654275</v>
      </c>
      <c r="K21" s="132">
        <f>F21-37283.9</f>
        <v>13790.259999999995</v>
      </c>
      <c r="L21" s="132">
        <f>F21/37283.9*100</f>
        <v>136.98717140642472</v>
      </c>
      <c r="M21" s="32">
        <f>M22+M23+M24</f>
        <v>14845</v>
      </c>
      <c r="N21" s="178">
        <f>F21-березень!F21</f>
        <v>10686.049999999996</v>
      </c>
      <c r="O21" s="40">
        <f t="shared" si="4"/>
        <v>-4158.950000000004</v>
      </c>
      <c r="P21" s="42">
        <f t="shared" si="5"/>
        <v>71.98416975412594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7046.49</v>
      </c>
      <c r="G22" s="109">
        <f>F22-E22</f>
        <v>414.8899999999994</v>
      </c>
      <c r="H22" s="111">
        <f t="shared" si="1"/>
        <v>106.25625791664153</v>
      </c>
      <c r="I22" s="110">
        <f t="shared" si="2"/>
        <v>-11453.51</v>
      </c>
      <c r="J22" s="110">
        <f t="shared" si="3"/>
        <v>38.08913513513513</v>
      </c>
      <c r="K22" s="174">
        <f>F22-4219.07</f>
        <v>2827.42</v>
      </c>
      <c r="L22" s="174">
        <f>F22/4219.07*100</f>
        <v>167.01524269566517</v>
      </c>
      <c r="M22" s="111">
        <f>E22-березень!E22</f>
        <v>3100.0000000000005</v>
      </c>
      <c r="N22" s="179">
        <f>F22-березень!F22</f>
        <v>2851.5999999999995</v>
      </c>
      <c r="O22" s="112">
        <f t="shared" si="4"/>
        <v>-248.400000000001</v>
      </c>
      <c r="P22" s="110">
        <f t="shared" si="5"/>
        <v>91.98709677419352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386.58</v>
      </c>
      <c r="G23" s="109">
        <f>F23-E23</f>
        <v>109.74000000000001</v>
      </c>
      <c r="H23" s="111">
        <f t="shared" si="1"/>
        <v>139.64022540095363</v>
      </c>
      <c r="I23" s="110">
        <f t="shared" si="2"/>
        <v>-2413.42</v>
      </c>
      <c r="J23" s="110">
        <f t="shared" si="3"/>
        <v>13.806428571428569</v>
      </c>
      <c r="K23" s="110">
        <f>F23-141.72</f>
        <v>244.85999999999999</v>
      </c>
      <c r="L23" s="110">
        <f>F23/141.72*100</f>
        <v>272.77730736663847</v>
      </c>
      <c r="M23" s="111">
        <f>E23-березень!E23</f>
        <v>74.99999999999997</v>
      </c>
      <c r="N23" s="179">
        <f>F23-березень!F23</f>
        <v>72.69999999999999</v>
      </c>
      <c r="O23" s="112">
        <f t="shared" si="4"/>
        <v>-2.299999999999983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43641.09</v>
      </c>
      <c r="G24" s="109">
        <f>F24-E24</f>
        <v>-1136.7300000000032</v>
      </c>
      <c r="H24" s="111">
        <f t="shared" si="1"/>
        <v>97.46139941605017</v>
      </c>
      <c r="I24" s="110">
        <f t="shared" si="2"/>
        <v>-96458.91</v>
      </c>
      <c r="J24" s="110">
        <f t="shared" si="3"/>
        <v>31.149957173447536</v>
      </c>
      <c r="K24" s="174">
        <f>F24-32923.11</f>
        <v>10717.979999999996</v>
      </c>
      <c r="L24" s="174">
        <f>F24/32923.11*100</f>
        <v>132.55457944282904</v>
      </c>
      <c r="M24" s="111">
        <f>E24-березень!E24</f>
        <v>11670</v>
      </c>
      <c r="N24" s="179">
        <f>F24-березень!F24</f>
        <v>7761.75</v>
      </c>
      <c r="O24" s="112">
        <f t="shared" si="4"/>
        <v>-3908.25</v>
      </c>
      <c r="P24" s="110">
        <f t="shared" si="5"/>
        <v>66.51028277634961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32.51</v>
      </c>
      <c r="G25" s="36">
        <f>F25-E25</f>
        <v>12.999999999999996</v>
      </c>
      <c r="H25" s="32">
        <f t="shared" si="1"/>
        <v>166.6324961558175</v>
      </c>
      <c r="I25" s="42">
        <f t="shared" si="2"/>
        <v>-44.49</v>
      </c>
      <c r="J25" s="42">
        <f t="shared" si="3"/>
        <v>42.22077922077922</v>
      </c>
      <c r="K25" s="132">
        <f>F25-23.16</f>
        <v>9.349999999999998</v>
      </c>
      <c r="L25" s="132">
        <f>F25/23.16*100</f>
        <v>140.3713298791019</v>
      </c>
      <c r="M25" s="32">
        <f>E25-березень!E25</f>
        <v>5.500000000000002</v>
      </c>
      <c r="N25" s="178">
        <f>F25-березень!F25</f>
        <v>7.699999999999999</v>
      </c>
      <c r="O25" s="40">
        <f t="shared" si="4"/>
        <v>2.1999999999999975</v>
      </c>
      <c r="P25" s="42">
        <f t="shared" si="5"/>
        <v>139.99999999999994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-107.01</v>
      </c>
      <c r="G26" s="36">
        <f aca="true" t="shared" si="6" ref="G26:G32">F26-E26</f>
        <v>-107.01</v>
      </c>
      <c r="H26" s="32"/>
      <c r="I26" s="42">
        <f t="shared" si="2"/>
        <v>-107.01</v>
      </c>
      <c r="J26" s="42"/>
      <c r="K26" s="132">
        <f>F26-(-59.24)</f>
        <v>-47.77</v>
      </c>
      <c r="L26" s="132">
        <f>F26/(-59.24)*100</f>
        <v>180.63808237677245</v>
      </c>
      <c r="M26" s="32">
        <f>E26-березень!E26</f>
        <v>0</v>
      </c>
      <c r="N26" s="178">
        <f>F26-березень!F26</f>
        <v>-25.47</v>
      </c>
      <c r="O26" s="40">
        <f t="shared" si="4"/>
        <v>-25.47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50398.22</v>
      </c>
      <c r="G27" s="36">
        <f t="shared" si="6"/>
        <v>4902.980000000003</v>
      </c>
      <c r="H27" s="32">
        <f t="shared" si="1"/>
        <v>110.776907650119</v>
      </c>
      <c r="I27" s="42">
        <f t="shared" si="2"/>
        <v>-59064.78</v>
      </c>
      <c r="J27" s="42">
        <f t="shared" si="3"/>
        <v>46.04132903355472</v>
      </c>
      <c r="K27" s="106">
        <f>F27-33046.32</f>
        <v>17351.9</v>
      </c>
      <c r="L27" s="106">
        <f>F27/33046.32*100</f>
        <v>152.50781327542674</v>
      </c>
      <c r="M27" s="32">
        <f>E27-березень!E27</f>
        <v>8200</v>
      </c>
      <c r="N27" s="178">
        <f>F27-березень!F27</f>
        <v>11785.510000000002</v>
      </c>
      <c r="O27" s="40">
        <f t="shared" si="4"/>
        <v>3585.510000000002</v>
      </c>
      <c r="P27" s="42">
        <f>N27/M27*100</f>
        <v>143.7257317073171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12028.38</v>
      </c>
      <c r="G29" s="109">
        <f t="shared" si="6"/>
        <v>772.4099999999999</v>
      </c>
      <c r="H29" s="111">
        <f t="shared" si="1"/>
        <v>106.86222511254029</v>
      </c>
      <c r="I29" s="110">
        <f t="shared" si="2"/>
        <v>-15571.62</v>
      </c>
      <c r="J29" s="110">
        <f t="shared" si="3"/>
        <v>43.58108695652174</v>
      </c>
      <c r="K29" s="142">
        <f>F29-8182.41</f>
        <v>3845.9699999999993</v>
      </c>
      <c r="L29" s="142">
        <f>F29/8182.41*100</f>
        <v>147.0029001235577</v>
      </c>
      <c r="M29" s="111">
        <f>E29-березень!E29</f>
        <v>1900</v>
      </c>
      <c r="N29" s="179">
        <f>F29-березень!F29</f>
        <v>2215.8899999999994</v>
      </c>
      <c r="O29" s="112">
        <f t="shared" si="4"/>
        <v>315.8899999999994</v>
      </c>
      <c r="P29" s="110">
        <f>N29/M29*100</f>
        <v>116.62578947368418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38356.37</v>
      </c>
      <c r="G30" s="109">
        <f t="shared" si="6"/>
        <v>4120.290000000001</v>
      </c>
      <c r="H30" s="111">
        <f t="shared" si="1"/>
        <v>112.03493507434263</v>
      </c>
      <c r="I30" s="110">
        <f t="shared" si="2"/>
        <v>-43455.63</v>
      </c>
      <c r="J30" s="110">
        <f t="shared" si="3"/>
        <v>46.88355009045128</v>
      </c>
      <c r="K30" s="142">
        <f>F30-24859.36</f>
        <v>13497.010000000002</v>
      </c>
      <c r="L30" s="142">
        <f>F30/24859.36*100</f>
        <v>154.29347336375514</v>
      </c>
      <c r="M30" s="111">
        <f>E30-березень!E30</f>
        <v>6300</v>
      </c>
      <c r="N30" s="179">
        <f>F30-березень!F30</f>
        <v>9563.990000000002</v>
      </c>
      <c r="O30" s="112">
        <f t="shared" si="4"/>
        <v>3263.9900000000016</v>
      </c>
      <c r="P30" s="110">
        <f>N30/M30*100</f>
        <v>151.8093650793651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13.29</v>
      </c>
      <c r="G31" s="109">
        <f t="shared" si="6"/>
        <v>10.1</v>
      </c>
      <c r="H31" s="111">
        <f t="shared" si="1"/>
        <v>416.61442006269584</v>
      </c>
      <c r="I31" s="110">
        <f t="shared" si="2"/>
        <v>-37.71</v>
      </c>
      <c r="J31" s="110">
        <f t="shared" si="3"/>
        <v>26.05882352941176</v>
      </c>
      <c r="K31" s="142">
        <f>F31-5.75</f>
        <v>7.539999999999999</v>
      </c>
      <c r="L31" s="142">
        <f>F31/5.75*100</f>
        <v>231.1304347826087</v>
      </c>
      <c r="M31" s="111">
        <f>E31-березень!E31</f>
        <v>0</v>
      </c>
      <c r="N31" s="179">
        <f>F31-березень!F31</f>
        <v>5.599999999999999</v>
      </c>
      <c r="O31" s="112">
        <f t="shared" si="4"/>
        <v>5.599999999999999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16592.64</v>
      </c>
      <c r="G33" s="15">
        <f>G34+G35+G36+G37+G38+G39+G41+G42+G43+G44+G45+G50+G51+G55</f>
        <v>2346.6299999999997</v>
      </c>
      <c r="H33" s="38">
        <f>F33/E33*100</f>
        <v>116.4720276455967</v>
      </c>
      <c r="I33" s="28">
        <f>F33-D33</f>
        <v>-26227.36</v>
      </c>
      <c r="J33" s="28">
        <f>F33/D33*100</f>
        <v>38.74974311069593</v>
      </c>
      <c r="K33" s="15">
        <f>F33-10433.59</f>
        <v>6159.049999999999</v>
      </c>
      <c r="L33" s="15">
        <f>F33/10433.59*100</f>
        <v>159.030975915289</v>
      </c>
      <c r="M33" s="15">
        <f>M34+M35+M36+M37+M38+M39+M41+M42+M43+M44+M45+M50+M51+M55</f>
        <v>3735.999</v>
      </c>
      <c r="N33" s="15">
        <f>N34+N35+N36+N37+N38+N39+N41+N42+N43+N44+N45+N50+N51+N55</f>
        <v>5920.3730000000005</v>
      </c>
      <c r="O33" s="15">
        <f>O34+O35+O36+O37+O38+O39+O41+O42+O43+O44+O45+O50+O51+O55</f>
        <v>2184.374</v>
      </c>
      <c r="P33" s="15">
        <f>N33/M33*100</f>
        <v>158.46827046795252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95.75</v>
      </c>
      <c r="G34" s="36">
        <f>F34-E34</f>
        <v>41.75</v>
      </c>
      <c r="H34" s="32">
        <f aca="true" t="shared" si="7" ref="H34:H56">F34/E34*100</f>
        <v>177.3148148148148</v>
      </c>
      <c r="I34" s="42">
        <f>F34-D34</f>
        <v>-4.25</v>
      </c>
      <c r="J34" s="42">
        <f>F34/D34*100</f>
        <v>95.75</v>
      </c>
      <c r="K34" s="42">
        <f>F34-83.98</f>
        <v>11.769999999999996</v>
      </c>
      <c r="L34" s="42">
        <f>F34/83.98*100</f>
        <v>114.01524172422003</v>
      </c>
      <c r="M34" s="32">
        <f>E34-березень!E34</f>
        <v>3</v>
      </c>
      <c r="N34" s="178">
        <f>F34-березень!F34</f>
        <v>1.1029999999999944</v>
      </c>
      <c r="O34" s="40">
        <f>N34-M34</f>
        <v>-1.8970000000000056</v>
      </c>
      <c r="P34" s="42">
        <f aca="true" t="shared" si="8" ref="P34:P56">N34/M34*100</f>
        <v>36.76666666666648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33.25</v>
      </c>
      <c r="G38" s="36">
        <f t="shared" si="9"/>
        <v>-6.75</v>
      </c>
      <c r="H38" s="32">
        <f t="shared" si="7"/>
        <v>83.125</v>
      </c>
      <c r="I38" s="42">
        <f t="shared" si="10"/>
        <v>-116.75</v>
      </c>
      <c r="J38" s="42">
        <f t="shared" si="12"/>
        <v>22.166666666666668</v>
      </c>
      <c r="K38" s="42">
        <f>F38-41.25</f>
        <v>-8</v>
      </c>
      <c r="L38" s="42">
        <f>F38/41.25*100</f>
        <v>80.60606060606061</v>
      </c>
      <c r="M38" s="32">
        <f>E38-березень!E38</f>
        <v>10</v>
      </c>
      <c r="N38" s="178">
        <f>F38-березень!F38</f>
        <v>12.850000000000001</v>
      </c>
      <c r="O38" s="40">
        <f t="shared" si="11"/>
        <v>2.8500000000000014</v>
      </c>
      <c r="P38" s="42">
        <f t="shared" si="8"/>
        <v>128.5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3132.36</v>
      </c>
      <c r="G41" s="36">
        <f t="shared" si="9"/>
        <v>193.34000000000015</v>
      </c>
      <c r="H41" s="32">
        <f t="shared" si="7"/>
        <v>106.57838327061401</v>
      </c>
      <c r="I41" s="42">
        <f t="shared" si="10"/>
        <v>-6767.639999999999</v>
      </c>
      <c r="J41" s="42">
        <f t="shared" si="12"/>
        <v>31.64</v>
      </c>
      <c r="K41" s="42">
        <f>F41-3348.03</f>
        <v>-215.67000000000007</v>
      </c>
      <c r="L41" s="42">
        <f>F41/3348.03*100</f>
        <v>93.55830144891175</v>
      </c>
      <c r="M41" s="32">
        <f>E41-березень!E41</f>
        <v>800</v>
      </c>
      <c r="N41" s="178">
        <f>F41-березень!F41</f>
        <v>792.7800000000002</v>
      </c>
      <c r="O41" s="40">
        <f t="shared" si="11"/>
        <v>-7.2199999999998</v>
      </c>
      <c r="P41" s="42">
        <f t="shared" si="8"/>
        <v>99.09750000000003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1944.82</v>
      </c>
      <c r="G45" s="36">
        <f t="shared" si="9"/>
        <v>-69.37000000000012</v>
      </c>
      <c r="H45" s="32">
        <f t="shared" si="7"/>
        <v>96.5559356366579</v>
      </c>
      <c r="I45" s="42">
        <f t="shared" si="10"/>
        <v>-5355.18</v>
      </c>
      <c r="J45" s="42">
        <f t="shared" si="12"/>
        <v>26.641369863013697</v>
      </c>
      <c r="K45" s="132">
        <f>F45-2831.1</f>
        <v>-886.28</v>
      </c>
      <c r="L45" s="132">
        <f>F45/2831.1*100</f>
        <v>68.6948535904772</v>
      </c>
      <c r="M45" s="32">
        <f>E45-березень!E45</f>
        <v>641</v>
      </c>
      <c r="N45" s="178">
        <f>F45-березень!F45</f>
        <v>444.72</v>
      </c>
      <c r="O45" s="40">
        <f t="shared" si="11"/>
        <v>-196.27999999999997</v>
      </c>
      <c r="P45" s="132">
        <f t="shared" si="8"/>
        <v>69.37909516380655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230.89</v>
      </c>
      <c r="G46" s="36">
        <f t="shared" si="9"/>
        <v>-58.10000000000002</v>
      </c>
      <c r="H46" s="32">
        <f t="shared" si="7"/>
        <v>79.8954981141216</v>
      </c>
      <c r="I46" s="110">
        <f t="shared" si="10"/>
        <v>-869.11</v>
      </c>
      <c r="J46" s="110">
        <f t="shared" si="12"/>
        <v>20.99</v>
      </c>
      <c r="K46" s="110">
        <f>F46-319.39</f>
        <v>-88.5</v>
      </c>
      <c r="L46" s="110">
        <f>F46/319.39*100</f>
        <v>72.2909295845205</v>
      </c>
      <c r="M46" s="111">
        <f>E46-березень!E46</f>
        <v>100</v>
      </c>
      <c r="N46" s="179">
        <f>F46-березень!F46</f>
        <v>67.20999999999998</v>
      </c>
      <c r="O46" s="112">
        <f t="shared" si="11"/>
        <v>-32.79000000000002</v>
      </c>
      <c r="P46" s="132">
        <f t="shared" si="8"/>
        <v>67.20999999999998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1713.81</v>
      </c>
      <c r="G49" s="36">
        <f t="shared" si="9"/>
        <v>-8.360000000000127</v>
      </c>
      <c r="H49" s="32">
        <f t="shared" si="7"/>
        <v>99.51456592554742</v>
      </c>
      <c r="I49" s="110">
        <f t="shared" si="10"/>
        <v>-4440.1900000000005</v>
      </c>
      <c r="J49" s="110">
        <f t="shared" si="12"/>
        <v>27.848716282092944</v>
      </c>
      <c r="K49" s="110">
        <f>F49-2466.52</f>
        <v>-752.71</v>
      </c>
      <c r="L49" s="110">
        <f>F49/2466.52*100</f>
        <v>69.48291520036327</v>
      </c>
      <c r="M49" s="111">
        <f>E49-березень!E49</f>
        <v>540</v>
      </c>
      <c r="N49" s="179">
        <f>F49-березень!F49</f>
        <v>377.51</v>
      </c>
      <c r="O49" s="112">
        <f t="shared" si="11"/>
        <v>-162.49</v>
      </c>
      <c r="P49" s="132">
        <f t="shared" si="8"/>
        <v>69.90925925925926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1937.47</v>
      </c>
      <c r="G51" s="36">
        <f t="shared" si="9"/>
        <v>459.49</v>
      </c>
      <c r="H51" s="32">
        <f t="shared" si="7"/>
        <v>131.08905397907955</v>
      </c>
      <c r="I51" s="42">
        <f t="shared" si="10"/>
        <v>-2862.5299999999997</v>
      </c>
      <c r="J51" s="42">
        <f t="shared" si="12"/>
        <v>40.363958333333336</v>
      </c>
      <c r="K51" s="42">
        <f>F51-1435.76</f>
        <v>501.71000000000004</v>
      </c>
      <c r="L51" s="42">
        <f>F51/1435.76*100</f>
        <v>134.9438624839806</v>
      </c>
      <c r="M51" s="32">
        <f>E51-березень!E51</f>
        <v>470</v>
      </c>
      <c r="N51" s="178">
        <f>F51-березень!F51</f>
        <v>822.6300000000001</v>
      </c>
      <c r="O51" s="40">
        <f t="shared" si="11"/>
        <v>352.6300000000001</v>
      </c>
      <c r="P51" s="42">
        <f t="shared" si="8"/>
        <v>175.02765957446812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386.9</v>
      </c>
      <c r="G53" s="36"/>
      <c r="H53" s="32"/>
      <c r="I53" s="42"/>
      <c r="J53" s="42"/>
      <c r="K53" s="112">
        <f>F53-313.7</f>
        <v>73.19999999999999</v>
      </c>
      <c r="L53" s="112">
        <f>F53/313.7*100</f>
        <v>123.33439591966847</v>
      </c>
      <c r="M53" s="32">
        <f>E53-березень!E53</f>
        <v>0</v>
      </c>
      <c r="N53" s="179">
        <f>F53-березень!F53</f>
        <v>156.45999999999998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288300.79</v>
      </c>
      <c r="G58" s="37">
        <f>F58-E58</f>
        <v>2372.4800000000396</v>
      </c>
      <c r="H58" s="38">
        <f>F58/E58*100</f>
        <v>100.82974644938099</v>
      </c>
      <c r="I58" s="28">
        <f>F58-D58</f>
        <v>-595599.81</v>
      </c>
      <c r="J58" s="28">
        <f>F58/D58*100</f>
        <v>32.616879092513344</v>
      </c>
      <c r="K58" s="28">
        <f>F58-208977.28</f>
        <v>79323.50999999998</v>
      </c>
      <c r="L58" s="28">
        <f>F58/208977.28*100</f>
        <v>137.9579588747638</v>
      </c>
      <c r="M58" s="15">
        <f>M8+M33+M56+M57</f>
        <v>75098.79899999998</v>
      </c>
      <c r="N58" s="15">
        <f>N8+N33+N56+N57</f>
        <v>67835.01299999999</v>
      </c>
      <c r="O58" s="41">
        <f>N58-M58</f>
        <v>-7263.785999999993</v>
      </c>
      <c r="P58" s="28">
        <f>N58/M58*100</f>
        <v>90.3276935227686</v>
      </c>
      <c r="Q58" s="28">
        <f>N58-34768</f>
        <v>33067.01299999999</v>
      </c>
      <c r="R58" s="128">
        <f>N58/34768</f>
        <v>1.9510760757017944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0.01</v>
      </c>
      <c r="G63" s="36"/>
      <c r="H63" s="32"/>
      <c r="I63" s="43"/>
      <c r="J63" s="43"/>
      <c r="K63" s="43">
        <f>F63-8.75</f>
        <v>-8.74</v>
      </c>
      <c r="L63" s="43"/>
      <c r="M63" s="33"/>
      <c r="N63" s="181">
        <f>F63-березень!F63</f>
        <v>0.01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-0.26</v>
      </c>
      <c r="G65" s="45">
        <f>F65-E65</f>
        <v>-0.26</v>
      </c>
      <c r="H65" s="52"/>
      <c r="I65" s="44">
        <f>F65-D65</f>
        <v>-0.26</v>
      </c>
      <c r="J65" s="44"/>
      <c r="K65" s="44">
        <f>F65-(-5.9)</f>
        <v>5.640000000000001</v>
      </c>
      <c r="L65" s="44">
        <f>F65/(-5.9)*100</f>
        <v>4.406779661016949</v>
      </c>
      <c r="M65" s="45">
        <f>M64</f>
        <v>0</v>
      </c>
      <c r="N65" s="182">
        <f>SUM(N63:N64)</f>
        <v>0.01</v>
      </c>
      <c r="O65" s="44">
        <f>N65-M65</f>
        <v>0.01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300.88</v>
      </c>
      <c r="G67" s="36">
        <f aca="true" t="shared" si="13" ref="G67:G77">F67-E67</f>
        <v>-65.72000000000003</v>
      </c>
      <c r="H67" s="32"/>
      <c r="I67" s="43">
        <f aca="true" t="shared" si="14" ref="I67:I77">F67-D67</f>
        <v>-3899.12</v>
      </c>
      <c r="J67" s="43">
        <f>F67/D67*100</f>
        <v>7.163809523809523</v>
      </c>
      <c r="K67" s="43">
        <f>F67-91.72</f>
        <v>209.16</v>
      </c>
      <c r="L67" s="43">
        <f>F67/91.72*100</f>
        <v>328.0418665503707</v>
      </c>
      <c r="M67" s="32">
        <f>E67-березень!E67</f>
        <v>294.6</v>
      </c>
      <c r="N67" s="178">
        <f>F67-березень!F67</f>
        <v>300.73</v>
      </c>
      <c r="O67" s="40">
        <f aca="true" t="shared" si="15" ref="O67:O80">N67-M67</f>
        <v>6.1299999999999955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460.27</v>
      </c>
      <c r="G68" s="36">
        <f t="shared" si="13"/>
        <v>-1173.74</v>
      </c>
      <c r="H68" s="32">
        <f>F68/E68*100</f>
        <v>28.16812626605712</v>
      </c>
      <c r="I68" s="43">
        <f t="shared" si="14"/>
        <v>-6998.73</v>
      </c>
      <c r="J68" s="43">
        <f>F68/D68*100</f>
        <v>6.170666309156723</v>
      </c>
      <c r="K68" s="43">
        <f>F68-1938.06</f>
        <v>-1477.79</v>
      </c>
      <c r="L68" s="43">
        <f>F68/1938.06*100</f>
        <v>23.74900673869746</v>
      </c>
      <c r="M68" s="32">
        <f>E68-березень!E68</f>
        <v>242.5999999999999</v>
      </c>
      <c r="N68" s="178">
        <f>F68-березень!F68</f>
        <v>141.63</v>
      </c>
      <c r="O68" s="40">
        <f t="shared" si="15"/>
        <v>-100.96999999999991</v>
      </c>
      <c r="P68" s="43">
        <f>N68/M68*100</f>
        <v>58.380049464138516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8689.53</v>
      </c>
      <c r="G69" s="36">
        <f t="shared" si="13"/>
        <v>7500.68</v>
      </c>
      <c r="H69" s="32">
        <f>F69/E69*100</f>
        <v>730.9189552929303</v>
      </c>
      <c r="I69" s="43">
        <f t="shared" si="14"/>
        <v>2689.5300000000007</v>
      </c>
      <c r="J69" s="43">
        <f>F69/D69*100</f>
        <v>144.8255</v>
      </c>
      <c r="K69" s="43">
        <f>F69-34.14</f>
        <v>8655.390000000001</v>
      </c>
      <c r="L69" s="43">
        <f>F69/34.14*100</f>
        <v>25452.636203866434</v>
      </c>
      <c r="M69" s="32">
        <f>E69-березень!E69</f>
        <v>301.9999999999999</v>
      </c>
      <c r="N69" s="178">
        <f>F69-березень!F69</f>
        <v>732.4400000000005</v>
      </c>
      <c r="O69" s="40">
        <f t="shared" si="15"/>
        <v>430.4400000000006</v>
      </c>
      <c r="P69" s="43">
        <f>N69/M69*100</f>
        <v>242.52980132450358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9454.68</v>
      </c>
      <c r="G71" s="45">
        <f t="shared" si="13"/>
        <v>6261.22</v>
      </c>
      <c r="H71" s="52">
        <f>F71/E71*100</f>
        <v>296.06383045348935</v>
      </c>
      <c r="I71" s="44">
        <f t="shared" si="14"/>
        <v>-8216.32</v>
      </c>
      <c r="J71" s="44">
        <f>F71/D71*100</f>
        <v>53.503932997566636</v>
      </c>
      <c r="K71" s="44">
        <f>F71-1938.06</f>
        <v>7516.620000000001</v>
      </c>
      <c r="L71" s="44">
        <f>F71/1938.06*100</f>
        <v>487.84248165691463</v>
      </c>
      <c r="M71" s="45">
        <f>M67+M68+M69+M70</f>
        <v>840.1999999999998</v>
      </c>
      <c r="N71" s="183">
        <f>N67+N68+N69+N70</f>
        <v>1175.8000000000006</v>
      </c>
      <c r="O71" s="44">
        <f t="shared" si="15"/>
        <v>335.6000000000008</v>
      </c>
      <c r="P71" s="44">
        <f>N71/M71*100</f>
        <v>139.9428707450608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2.64</v>
      </c>
      <c r="G72" s="36">
        <f t="shared" si="13"/>
        <v>2.64</v>
      </c>
      <c r="H72" s="32"/>
      <c r="I72" s="43">
        <f t="shared" si="14"/>
        <v>1.6400000000000001</v>
      </c>
      <c r="J72" s="43"/>
      <c r="K72" s="43">
        <f>F72-0</f>
        <v>2.64</v>
      </c>
      <c r="L72" s="43"/>
      <c r="M72" s="32">
        <f>E72-березень!E72</f>
        <v>0</v>
      </c>
      <c r="N72" s="178">
        <f>F72-березень!F72</f>
        <v>2.2</v>
      </c>
      <c r="O72" s="40">
        <f t="shared" si="15"/>
        <v>2.2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2033.29</v>
      </c>
      <c r="G74" s="36">
        <f t="shared" si="13"/>
        <v>12.589999999999918</v>
      </c>
      <c r="H74" s="32">
        <f>F74/E74*100</f>
        <v>100.62305141782551</v>
      </c>
      <c r="I74" s="43">
        <f t="shared" si="14"/>
        <v>-7466.71</v>
      </c>
      <c r="J74" s="40">
        <f>F74/D74*100</f>
        <v>21.403052631578948</v>
      </c>
      <c r="K74" s="40">
        <f>F74-0</f>
        <v>2033.29</v>
      </c>
      <c r="L74" s="43"/>
      <c r="M74" s="32">
        <f>E74-березень!E74</f>
        <v>15</v>
      </c>
      <c r="N74" s="178">
        <f>F74-березень!F74</f>
        <v>14.289999999999964</v>
      </c>
      <c r="O74" s="40">
        <f>N74-M74</f>
        <v>-0.7100000000000364</v>
      </c>
      <c r="P74" s="46">
        <f>N74/M74*100</f>
        <v>95.26666666666642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2036.33</v>
      </c>
      <c r="G76" s="30">
        <f>G72+G75+G73+G74</f>
        <v>15.629999999999917</v>
      </c>
      <c r="H76" s="52">
        <f>F76/E76*100</f>
        <v>100.77349433364675</v>
      </c>
      <c r="I76" s="44">
        <f t="shared" si="14"/>
        <v>-7464.67</v>
      </c>
      <c r="J76" s="44">
        <f>F76/D76*100</f>
        <v>21.432796547731815</v>
      </c>
      <c r="K76" s="44">
        <f>F76-0.7</f>
        <v>2035.6299999999999</v>
      </c>
      <c r="L76" s="44">
        <f>F76/0.7*100</f>
        <v>290904.28571428574</v>
      </c>
      <c r="M76" s="45">
        <f>M72+M75+M73+M74</f>
        <v>15</v>
      </c>
      <c r="N76" s="183">
        <f>N72+N75+N73+N74</f>
        <v>16.489999999999963</v>
      </c>
      <c r="O76" s="45">
        <f>O72+O75+O73+O74</f>
        <v>1.4899999999999638</v>
      </c>
      <c r="P76" s="44">
        <f>N76/M76*100</f>
        <v>109.93333333333308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11499.94</v>
      </c>
      <c r="G79" s="37">
        <f>F79-E79</f>
        <v>6272.64</v>
      </c>
      <c r="H79" s="38">
        <f>F79/E79*100</f>
        <v>219.99770435980332</v>
      </c>
      <c r="I79" s="28">
        <f>F79-D79</f>
        <v>-15715.06</v>
      </c>
      <c r="J79" s="28">
        <f>F79/D79*100</f>
        <v>42.255888296895094</v>
      </c>
      <c r="K79" s="28">
        <f>F79-2072.3</f>
        <v>9427.64</v>
      </c>
      <c r="L79" s="28">
        <f>F79/2072.3*100</f>
        <v>554.9360613810742</v>
      </c>
      <c r="M79" s="24">
        <f>M65+M77+M71+M76</f>
        <v>855.6299999999998</v>
      </c>
      <c r="N79" s="24">
        <f>N65+N77+N71+N76+N78</f>
        <v>1192.3000000000006</v>
      </c>
      <c r="O79" s="28">
        <f t="shared" si="15"/>
        <v>336.67000000000087</v>
      </c>
      <c r="P79" s="28">
        <f>N79/M79*100</f>
        <v>139.34761520750803</v>
      </c>
      <c r="Q79" s="28">
        <f>N79-8104.96</f>
        <v>-6912.66</v>
      </c>
      <c r="R79" s="101">
        <f>N79/8104.96</f>
        <v>0.14710745025268485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299800.73</v>
      </c>
      <c r="G80" s="37">
        <f>F80-E80</f>
        <v>8645.120000000054</v>
      </c>
      <c r="H80" s="38">
        <f>F80/E80*100</f>
        <v>102.96924383493764</v>
      </c>
      <c r="I80" s="28">
        <f>F80-D80</f>
        <v>-611314.87</v>
      </c>
      <c r="J80" s="28">
        <f>F80/D80*100</f>
        <v>32.904796054419435</v>
      </c>
      <c r="K80" s="28">
        <f>F80-211049.59</f>
        <v>88751.13999999998</v>
      </c>
      <c r="L80" s="28">
        <f>F80/211049.59*100</f>
        <v>142.0522683791994</v>
      </c>
      <c r="M80" s="15">
        <f>M58+M79</f>
        <v>75954.42899999999</v>
      </c>
      <c r="N80" s="15">
        <f>N58+N79</f>
        <v>69027.313</v>
      </c>
      <c r="O80" s="28">
        <f t="shared" si="15"/>
        <v>-6927.1159999999945</v>
      </c>
      <c r="P80" s="28">
        <f>N80/M80*100</f>
        <v>90.87990510731113</v>
      </c>
      <c r="Q80" s="28">
        <f>N80-42872.96</f>
        <v>26154.352999999996</v>
      </c>
      <c r="R80" s="101">
        <f>N80/42872.96</f>
        <v>1.6100430900968814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2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3631.8929999999964</v>
      </c>
      <c r="D83" s="4" t="s">
        <v>24</v>
      </c>
      <c r="G83" s="205"/>
      <c r="H83" s="205"/>
      <c r="I83" s="205"/>
      <c r="J83" s="205"/>
      <c r="K83" s="90"/>
      <c r="L83" s="90"/>
      <c r="P83" s="26"/>
      <c r="Q83" s="26"/>
    </row>
    <row r="84" spans="2:15" ht="34.5" customHeight="1">
      <c r="B84" s="58" t="s">
        <v>56</v>
      </c>
      <c r="C84" s="87">
        <v>42487</v>
      </c>
      <c r="D84" s="31">
        <v>7800.7</v>
      </c>
      <c r="G84" s="4" t="s">
        <v>59</v>
      </c>
      <c r="N84" s="198"/>
      <c r="O84" s="198"/>
    </row>
    <row r="85" spans="3:15" ht="15">
      <c r="C85" s="87">
        <v>42486</v>
      </c>
      <c r="D85" s="31">
        <v>3750.6</v>
      </c>
      <c r="F85" s="124" t="s">
        <v>59</v>
      </c>
      <c r="G85" s="192"/>
      <c r="H85" s="192"/>
      <c r="I85" s="131"/>
      <c r="J85" s="195"/>
      <c r="K85" s="195"/>
      <c r="L85" s="195"/>
      <c r="M85" s="195"/>
      <c r="N85" s="198"/>
      <c r="O85" s="198"/>
    </row>
    <row r="86" spans="3:15" ht="15.75" customHeight="1">
      <c r="C86" s="87">
        <v>42485</v>
      </c>
      <c r="D86" s="31">
        <v>3394.4</v>
      </c>
      <c r="F86" s="73"/>
      <c r="G86" s="192"/>
      <c r="H86" s="192"/>
      <c r="I86" s="131"/>
      <c r="J86" s="199"/>
      <c r="K86" s="199"/>
      <c r="L86" s="199"/>
      <c r="M86" s="199"/>
      <c r="N86" s="198"/>
      <c r="O86" s="198"/>
    </row>
    <row r="87" spans="3:13" ht="15.75" customHeight="1">
      <c r="C87" s="87"/>
      <c r="F87" s="73"/>
      <c r="G87" s="194"/>
      <c r="H87" s="194"/>
      <c r="I87" s="139"/>
      <c r="J87" s="195"/>
      <c r="K87" s="195"/>
      <c r="L87" s="195"/>
      <c r="M87" s="195"/>
    </row>
    <row r="88" spans="2:13" ht="18.75" customHeight="1">
      <c r="B88" s="196" t="s">
        <v>57</v>
      </c>
      <c r="C88" s="197"/>
      <c r="D88" s="148">
        <v>27.80847</v>
      </c>
      <c r="E88" s="74"/>
      <c r="F88" s="140" t="s">
        <v>137</v>
      </c>
      <c r="G88" s="192"/>
      <c r="H88" s="192"/>
      <c r="I88" s="141"/>
      <c r="J88" s="195"/>
      <c r="K88" s="195"/>
      <c r="L88" s="195"/>
      <c r="M88" s="195"/>
    </row>
    <row r="89" spans="6:12" ht="9.75" customHeight="1">
      <c r="F89" s="73"/>
      <c r="G89" s="192"/>
      <c r="H89" s="192"/>
      <c r="I89" s="73"/>
      <c r="J89" s="74"/>
      <c r="K89" s="74"/>
      <c r="L89" s="74"/>
    </row>
    <row r="90" spans="2:12" ht="22.5" customHeight="1" hidden="1">
      <c r="B90" s="190" t="s">
        <v>60</v>
      </c>
      <c r="C90" s="191"/>
      <c r="D90" s="86">
        <v>0</v>
      </c>
      <c r="E90" s="56" t="s">
        <v>24</v>
      </c>
      <c r="F90" s="73"/>
      <c r="G90" s="192"/>
      <c r="H90" s="19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2"/>
      <c r="O91" s="192"/>
    </row>
    <row r="92" spans="4:15" ht="15">
      <c r="D92" s="83"/>
      <c r="I92" s="31"/>
      <c r="N92" s="193"/>
      <c r="O92" s="193"/>
    </row>
    <row r="93" spans="14:15" ht="15">
      <c r="N93" s="192"/>
      <c r="O93" s="192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55" sqref="E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12" t="s">
        <v>148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/>
      <c r="C3" s="217" t="s">
        <v>0</v>
      </c>
      <c r="D3" s="218" t="s">
        <v>121</v>
      </c>
      <c r="E3" s="34"/>
      <c r="F3" s="219" t="s">
        <v>26</v>
      </c>
      <c r="G3" s="220"/>
      <c r="H3" s="220"/>
      <c r="I3" s="220"/>
      <c r="J3" s="221"/>
      <c r="K3" s="89"/>
      <c r="L3" s="89"/>
      <c r="M3" s="222" t="s">
        <v>147</v>
      </c>
      <c r="N3" s="223" t="s">
        <v>143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146</v>
      </c>
      <c r="F4" s="206" t="s">
        <v>34</v>
      </c>
      <c r="G4" s="200" t="s">
        <v>141</v>
      </c>
      <c r="H4" s="208" t="s">
        <v>142</v>
      </c>
      <c r="I4" s="200" t="s">
        <v>122</v>
      </c>
      <c r="J4" s="208" t="s">
        <v>123</v>
      </c>
      <c r="K4" s="91" t="s">
        <v>65</v>
      </c>
      <c r="L4" s="96" t="s">
        <v>64</v>
      </c>
      <c r="M4" s="208"/>
      <c r="N4" s="210" t="s">
        <v>149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78.75" customHeight="1">
      <c r="A5" s="215"/>
      <c r="B5" s="216"/>
      <c r="C5" s="217"/>
      <c r="D5" s="218"/>
      <c r="E5" s="225"/>
      <c r="F5" s="207"/>
      <c r="G5" s="201"/>
      <c r="H5" s="209"/>
      <c r="I5" s="201"/>
      <c r="J5" s="209"/>
      <c r="K5" s="203" t="s">
        <v>144</v>
      </c>
      <c r="L5" s="204"/>
      <c r="M5" s="209"/>
      <c r="N5" s="211"/>
      <c r="O5" s="201"/>
      <c r="P5" s="202"/>
      <c r="Q5" s="203" t="s">
        <v>120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05"/>
      <c r="H83" s="205"/>
      <c r="I83" s="205"/>
      <c r="J83" s="20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198"/>
      <c r="O84" s="198"/>
    </row>
    <row r="85" spans="3:15" ht="15">
      <c r="C85" s="87">
        <v>42459</v>
      </c>
      <c r="D85" s="31">
        <v>7576.3</v>
      </c>
      <c r="F85" s="124" t="s">
        <v>59</v>
      </c>
      <c r="G85" s="192"/>
      <c r="H85" s="192"/>
      <c r="I85" s="131"/>
      <c r="J85" s="195"/>
      <c r="K85" s="195"/>
      <c r="L85" s="195"/>
      <c r="M85" s="195"/>
      <c r="N85" s="198"/>
      <c r="O85" s="198"/>
    </row>
    <row r="86" spans="3:15" ht="15.75" customHeight="1">
      <c r="C86" s="87">
        <v>42458</v>
      </c>
      <c r="D86" s="31">
        <v>9190.1</v>
      </c>
      <c r="F86" s="73"/>
      <c r="G86" s="192"/>
      <c r="H86" s="192"/>
      <c r="I86" s="131"/>
      <c r="J86" s="199"/>
      <c r="K86" s="199"/>
      <c r="L86" s="199"/>
      <c r="M86" s="199"/>
      <c r="N86" s="198"/>
      <c r="O86" s="198"/>
    </row>
    <row r="87" spans="3:13" ht="15.75" customHeight="1">
      <c r="C87" s="87"/>
      <c r="F87" s="73"/>
      <c r="G87" s="194"/>
      <c r="H87" s="194"/>
      <c r="I87" s="139"/>
      <c r="J87" s="195"/>
      <c r="K87" s="195"/>
      <c r="L87" s="195"/>
      <c r="M87" s="195"/>
    </row>
    <row r="88" spans="2:13" ht="18.75" customHeight="1">
      <c r="B88" s="196" t="s">
        <v>57</v>
      </c>
      <c r="C88" s="197"/>
      <c r="D88" s="148">
        <f>4343.7</f>
        <v>4343.7</v>
      </c>
      <c r="E88" s="74"/>
      <c r="F88" s="140" t="s">
        <v>137</v>
      </c>
      <c r="G88" s="192"/>
      <c r="H88" s="192"/>
      <c r="I88" s="141"/>
      <c r="J88" s="195"/>
      <c r="K88" s="195"/>
      <c r="L88" s="195"/>
      <c r="M88" s="195"/>
    </row>
    <row r="89" spans="6:12" ht="9.75" customHeight="1">
      <c r="F89" s="73"/>
      <c r="G89" s="192"/>
      <c r="H89" s="192"/>
      <c r="I89" s="73"/>
      <c r="J89" s="74"/>
      <c r="K89" s="74"/>
      <c r="L89" s="74"/>
    </row>
    <row r="90" spans="2:12" ht="22.5" customHeight="1" hidden="1">
      <c r="B90" s="190" t="s">
        <v>60</v>
      </c>
      <c r="C90" s="191"/>
      <c r="D90" s="86">
        <v>0</v>
      </c>
      <c r="E90" s="56" t="s">
        <v>24</v>
      </c>
      <c r="F90" s="73"/>
      <c r="G90" s="192"/>
      <c r="H90" s="19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2"/>
      <c r="O91" s="192"/>
    </row>
    <row r="92" spans="4:15" ht="15">
      <c r="D92" s="83"/>
      <c r="I92" s="31"/>
      <c r="N92" s="193"/>
      <c r="O92" s="193"/>
    </row>
    <row r="93" spans="14:15" ht="15">
      <c r="N93" s="192"/>
      <c r="O93" s="192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12" t="s">
        <v>139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/>
      <c r="C3" s="217" t="s">
        <v>0</v>
      </c>
      <c r="D3" s="218" t="s">
        <v>121</v>
      </c>
      <c r="E3" s="34"/>
      <c r="F3" s="219" t="s">
        <v>26</v>
      </c>
      <c r="G3" s="220"/>
      <c r="H3" s="220"/>
      <c r="I3" s="220"/>
      <c r="J3" s="221"/>
      <c r="K3" s="89"/>
      <c r="L3" s="89"/>
      <c r="M3" s="226" t="s">
        <v>128</v>
      </c>
      <c r="N3" s="223" t="s">
        <v>119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127</v>
      </c>
      <c r="F4" s="206" t="s">
        <v>34</v>
      </c>
      <c r="G4" s="200" t="s">
        <v>116</v>
      </c>
      <c r="H4" s="208" t="s">
        <v>117</v>
      </c>
      <c r="I4" s="200" t="s">
        <v>122</v>
      </c>
      <c r="J4" s="208" t="s">
        <v>123</v>
      </c>
      <c r="K4" s="91" t="s">
        <v>65</v>
      </c>
      <c r="L4" s="96" t="s">
        <v>64</v>
      </c>
      <c r="M4" s="208"/>
      <c r="N4" s="210" t="s">
        <v>140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92.25" customHeight="1">
      <c r="A5" s="215"/>
      <c r="B5" s="216"/>
      <c r="C5" s="217"/>
      <c r="D5" s="218"/>
      <c r="E5" s="225"/>
      <c r="F5" s="207"/>
      <c r="G5" s="201"/>
      <c r="H5" s="209"/>
      <c r="I5" s="201"/>
      <c r="J5" s="209"/>
      <c r="K5" s="203" t="s">
        <v>118</v>
      </c>
      <c r="L5" s="204"/>
      <c r="M5" s="209"/>
      <c r="N5" s="211"/>
      <c r="O5" s="201"/>
      <c r="P5" s="202"/>
      <c r="Q5" s="203" t="s">
        <v>120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5"/>
      <c r="H83" s="205"/>
      <c r="I83" s="205"/>
      <c r="J83" s="20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8"/>
      <c r="O84" s="198"/>
    </row>
    <row r="85" spans="3:15" ht="15">
      <c r="C85" s="87">
        <v>42426</v>
      </c>
      <c r="D85" s="31">
        <v>6256.2</v>
      </c>
      <c r="F85" s="124" t="s">
        <v>59</v>
      </c>
      <c r="G85" s="192"/>
      <c r="H85" s="192"/>
      <c r="I85" s="131"/>
      <c r="J85" s="195"/>
      <c r="K85" s="195"/>
      <c r="L85" s="195"/>
      <c r="M85" s="195"/>
      <c r="N85" s="198"/>
      <c r="O85" s="198"/>
    </row>
    <row r="86" spans="3:15" ht="15.75" customHeight="1">
      <c r="C86" s="87">
        <v>42425</v>
      </c>
      <c r="D86" s="31">
        <v>3536.9</v>
      </c>
      <c r="F86" s="73"/>
      <c r="G86" s="192"/>
      <c r="H86" s="192"/>
      <c r="I86" s="131"/>
      <c r="J86" s="199"/>
      <c r="K86" s="199"/>
      <c r="L86" s="199"/>
      <c r="M86" s="199"/>
      <c r="N86" s="198"/>
      <c r="O86" s="198"/>
    </row>
    <row r="87" spans="3:13" ht="15.75" customHeight="1">
      <c r="C87" s="87"/>
      <c r="F87" s="73"/>
      <c r="G87" s="194"/>
      <c r="H87" s="194"/>
      <c r="I87" s="139"/>
      <c r="J87" s="195"/>
      <c r="K87" s="195"/>
      <c r="L87" s="195"/>
      <c r="M87" s="195"/>
    </row>
    <row r="88" spans="2:13" ht="18.75" customHeight="1">
      <c r="B88" s="196" t="s">
        <v>57</v>
      </c>
      <c r="C88" s="197"/>
      <c r="D88" s="148">
        <v>505.3</v>
      </c>
      <c r="E88" s="74"/>
      <c r="F88" s="140" t="s">
        <v>137</v>
      </c>
      <c r="G88" s="192"/>
      <c r="H88" s="192"/>
      <c r="I88" s="141"/>
      <c r="J88" s="195"/>
      <c r="K88" s="195"/>
      <c r="L88" s="195"/>
      <c r="M88" s="195"/>
    </row>
    <row r="89" spans="6:12" ht="9.75" customHeight="1">
      <c r="F89" s="73"/>
      <c r="G89" s="192"/>
      <c r="H89" s="192"/>
      <c r="I89" s="73"/>
      <c r="J89" s="74"/>
      <c r="K89" s="74"/>
      <c r="L89" s="74"/>
    </row>
    <row r="90" spans="2:12" ht="22.5" customHeight="1" hidden="1">
      <c r="B90" s="190" t="s">
        <v>60</v>
      </c>
      <c r="C90" s="191"/>
      <c r="D90" s="86">
        <v>0</v>
      </c>
      <c r="E90" s="56" t="s">
        <v>24</v>
      </c>
      <c r="F90" s="73"/>
      <c r="G90" s="192"/>
      <c r="H90" s="19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2"/>
      <c r="O91" s="192"/>
    </row>
    <row r="92" spans="4:15" ht="15">
      <c r="D92" s="83"/>
      <c r="I92" s="31"/>
      <c r="N92" s="193"/>
      <c r="O92" s="193"/>
    </row>
    <row r="93" spans="14:15" ht="15">
      <c r="N93" s="192"/>
      <c r="O93" s="192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12" t="s">
        <v>114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 t="s">
        <v>135</v>
      </c>
      <c r="C3" s="217" t="s">
        <v>0</v>
      </c>
      <c r="D3" s="218" t="s">
        <v>121</v>
      </c>
      <c r="E3" s="34"/>
      <c r="F3" s="219" t="s">
        <v>26</v>
      </c>
      <c r="G3" s="220"/>
      <c r="H3" s="220"/>
      <c r="I3" s="220"/>
      <c r="J3" s="221"/>
      <c r="K3" s="89"/>
      <c r="L3" s="89"/>
      <c r="M3" s="226" t="s">
        <v>132</v>
      </c>
      <c r="N3" s="223" t="s">
        <v>66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129</v>
      </c>
      <c r="F4" s="206" t="s">
        <v>34</v>
      </c>
      <c r="G4" s="200" t="s">
        <v>130</v>
      </c>
      <c r="H4" s="208" t="s">
        <v>131</v>
      </c>
      <c r="I4" s="200" t="s">
        <v>122</v>
      </c>
      <c r="J4" s="208" t="s">
        <v>123</v>
      </c>
      <c r="K4" s="91" t="s">
        <v>65</v>
      </c>
      <c r="L4" s="96" t="s">
        <v>64</v>
      </c>
      <c r="M4" s="208"/>
      <c r="N4" s="227" t="s">
        <v>133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92.25" customHeight="1">
      <c r="A5" s="215"/>
      <c r="B5" s="216"/>
      <c r="C5" s="217"/>
      <c r="D5" s="218"/>
      <c r="E5" s="225"/>
      <c r="F5" s="207"/>
      <c r="G5" s="201"/>
      <c r="H5" s="209"/>
      <c r="I5" s="201"/>
      <c r="J5" s="209"/>
      <c r="K5" s="203" t="s">
        <v>134</v>
      </c>
      <c r="L5" s="204"/>
      <c r="M5" s="209"/>
      <c r="N5" s="228"/>
      <c r="O5" s="201"/>
      <c r="P5" s="202"/>
      <c r="Q5" s="203" t="s">
        <v>120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5"/>
      <c r="H83" s="205"/>
      <c r="I83" s="205"/>
      <c r="J83" s="20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8"/>
      <c r="O84" s="198"/>
    </row>
    <row r="85" spans="3:15" ht="15">
      <c r="C85" s="87">
        <v>42397</v>
      </c>
      <c r="D85" s="31">
        <v>8685</v>
      </c>
      <c r="F85" s="124" t="s">
        <v>59</v>
      </c>
      <c r="G85" s="192"/>
      <c r="H85" s="192"/>
      <c r="I85" s="131"/>
      <c r="J85" s="195"/>
      <c r="K85" s="195"/>
      <c r="L85" s="195"/>
      <c r="M85" s="195"/>
      <c r="N85" s="198"/>
      <c r="O85" s="198"/>
    </row>
    <row r="86" spans="3:15" ht="15.75" customHeight="1">
      <c r="C86" s="87">
        <v>42396</v>
      </c>
      <c r="D86" s="31">
        <v>4820.3</v>
      </c>
      <c r="F86" s="73"/>
      <c r="G86" s="192"/>
      <c r="H86" s="192"/>
      <c r="I86" s="131"/>
      <c r="J86" s="199"/>
      <c r="K86" s="199"/>
      <c r="L86" s="199"/>
      <c r="M86" s="199"/>
      <c r="N86" s="198"/>
      <c r="O86" s="198"/>
    </row>
    <row r="87" spans="3:13" ht="15.75" customHeight="1">
      <c r="C87" s="87"/>
      <c r="F87" s="73"/>
      <c r="G87" s="194"/>
      <c r="H87" s="194"/>
      <c r="I87" s="139"/>
      <c r="J87" s="195"/>
      <c r="K87" s="195"/>
      <c r="L87" s="195"/>
      <c r="M87" s="195"/>
    </row>
    <row r="88" spans="2:13" ht="18.75" customHeight="1">
      <c r="B88" s="196" t="s">
        <v>57</v>
      </c>
      <c r="C88" s="197"/>
      <c r="D88" s="148">
        <v>300.92</v>
      </c>
      <c r="E88" s="74"/>
      <c r="F88" s="140"/>
      <c r="G88" s="192"/>
      <c r="H88" s="192"/>
      <c r="I88" s="141"/>
      <c r="J88" s="195"/>
      <c r="K88" s="195"/>
      <c r="L88" s="195"/>
      <c r="M88" s="195"/>
    </row>
    <row r="89" spans="6:12" ht="9.75" customHeight="1">
      <c r="F89" s="73"/>
      <c r="G89" s="192"/>
      <c r="H89" s="192"/>
      <c r="I89" s="73"/>
      <c r="J89" s="74"/>
      <c r="K89" s="74"/>
      <c r="L89" s="74"/>
    </row>
    <row r="90" spans="2:12" ht="22.5" customHeight="1" hidden="1">
      <c r="B90" s="190" t="s">
        <v>60</v>
      </c>
      <c r="C90" s="191"/>
      <c r="D90" s="86">
        <v>0</v>
      </c>
      <c r="E90" s="56" t="s">
        <v>24</v>
      </c>
      <c r="F90" s="73"/>
      <c r="G90" s="192"/>
      <c r="H90" s="192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2"/>
      <c r="O91" s="192"/>
    </row>
    <row r="92" spans="4:15" ht="15">
      <c r="D92" s="83"/>
      <c r="I92" s="31"/>
      <c r="N92" s="193"/>
      <c r="O92" s="193"/>
    </row>
    <row r="93" spans="14:15" ht="15">
      <c r="N93" s="192"/>
      <c r="O93" s="192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12" t="s">
        <v>114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  <c r="R1" s="93"/>
    </row>
    <row r="2" spans="2:18" s="1" customFormat="1" ht="15.75" customHeight="1">
      <c r="B2" s="213"/>
      <c r="C2" s="213"/>
      <c r="D2" s="21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4"/>
      <c r="B3" s="216" t="s">
        <v>136</v>
      </c>
      <c r="C3" s="217" t="s">
        <v>0</v>
      </c>
      <c r="D3" s="218" t="s">
        <v>115</v>
      </c>
      <c r="E3" s="34"/>
      <c r="F3" s="219" t="s">
        <v>26</v>
      </c>
      <c r="G3" s="220"/>
      <c r="H3" s="220"/>
      <c r="I3" s="220"/>
      <c r="J3" s="221"/>
      <c r="K3" s="89"/>
      <c r="L3" s="89"/>
      <c r="M3" s="226" t="s">
        <v>107</v>
      </c>
      <c r="N3" s="223" t="s">
        <v>66</v>
      </c>
      <c r="O3" s="223"/>
      <c r="P3" s="223"/>
      <c r="Q3" s="223"/>
      <c r="R3" s="223"/>
    </row>
    <row r="4" spans="1:18" ht="22.5" customHeight="1">
      <c r="A4" s="214"/>
      <c r="B4" s="216"/>
      <c r="C4" s="217"/>
      <c r="D4" s="218"/>
      <c r="E4" s="224" t="s">
        <v>104</v>
      </c>
      <c r="F4" s="229" t="s">
        <v>34</v>
      </c>
      <c r="G4" s="200" t="s">
        <v>109</v>
      </c>
      <c r="H4" s="208" t="s">
        <v>110</v>
      </c>
      <c r="I4" s="200" t="s">
        <v>105</v>
      </c>
      <c r="J4" s="208" t="s">
        <v>106</v>
      </c>
      <c r="K4" s="91" t="s">
        <v>65</v>
      </c>
      <c r="L4" s="96" t="s">
        <v>64</v>
      </c>
      <c r="M4" s="208"/>
      <c r="N4" s="227" t="s">
        <v>103</v>
      </c>
      <c r="O4" s="200" t="s">
        <v>50</v>
      </c>
      <c r="P4" s="202" t="s">
        <v>49</v>
      </c>
      <c r="Q4" s="97" t="s">
        <v>65</v>
      </c>
      <c r="R4" s="98" t="s">
        <v>64</v>
      </c>
    </row>
    <row r="5" spans="1:18" ht="76.5" customHeight="1">
      <c r="A5" s="215"/>
      <c r="B5" s="216"/>
      <c r="C5" s="217"/>
      <c r="D5" s="218"/>
      <c r="E5" s="225"/>
      <c r="F5" s="230"/>
      <c r="G5" s="201"/>
      <c r="H5" s="209"/>
      <c r="I5" s="201"/>
      <c r="J5" s="209"/>
      <c r="K5" s="203" t="s">
        <v>108</v>
      </c>
      <c r="L5" s="204"/>
      <c r="M5" s="209"/>
      <c r="N5" s="228"/>
      <c r="O5" s="201"/>
      <c r="P5" s="202"/>
      <c r="Q5" s="203" t="s">
        <v>126</v>
      </c>
      <c r="R5" s="20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5"/>
      <c r="H82" s="205"/>
      <c r="I82" s="205"/>
      <c r="J82" s="20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8"/>
      <c r="O83" s="198"/>
    </row>
    <row r="84" spans="3:15" ht="15">
      <c r="C84" s="87">
        <v>42397</v>
      </c>
      <c r="D84" s="31">
        <v>8685</v>
      </c>
      <c r="F84" s="166" t="s">
        <v>59</v>
      </c>
      <c r="G84" s="192"/>
      <c r="H84" s="192"/>
      <c r="I84" s="131"/>
      <c r="J84" s="195"/>
      <c r="K84" s="195"/>
      <c r="L84" s="195"/>
      <c r="M84" s="195"/>
      <c r="N84" s="198"/>
      <c r="O84" s="198"/>
    </row>
    <row r="85" spans="3:15" ht="15.75" customHeight="1">
      <c r="C85" s="87">
        <v>42396</v>
      </c>
      <c r="D85" s="31">
        <v>4820.3</v>
      </c>
      <c r="F85" s="167"/>
      <c r="G85" s="192"/>
      <c r="H85" s="192"/>
      <c r="I85" s="131"/>
      <c r="J85" s="199"/>
      <c r="K85" s="199"/>
      <c r="L85" s="199"/>
      <c r="M85" s="199"/>
      <c r="N85" s="198"/>
      <c r="O85" s="198"/>
    </row>
    <row r="86" spans="3:13" ht="15.75" customHeight="1">
      <c r="C86" s="87"/>
      <c r="F86" s="167"/>
      <c r="G86" s="194"/>
      <c r="H86" s="194"/>
      <c r="I86" s="139"/>
      <c r="J86" s="195"/>
      <c r="K86" s="195"/>
      <c r="L86" s="195"/>
      <c r="M86" s="195"/>
    </row>
    <row r="87" spans="2:13" ht="18.75" customHeight="1">
      <c r="B87" s="196" t="s">
        <v>57</v>
      </c>
      <c r="C87" s="197"/>
      <c r="D87" s="148">
        <v>300.92</v>
      </c>
      <c r="E87" s="74"/>
      <c r="F87" s="168"/>
      <c r="G87" s="192"/>
      <c r="H87" s="192"/>
      <c r="I87" s="141"/>
      <c r="J87" s="195"/>
      <c r="K87" s="195"/>
      <c r="L87" s="195"/>
      <c r="M87" s="195"/>
    </row>
    <row r="88" spans="6:12" ht="9.75" customHeight="1">
      <c r="F88" s="167"/>
      <c r="G88" s="192"/>
      <c r="H88" s="192"/>
      <c r="I88" s="73"/>
      <c r="J88" s="74"/>
      <c r="K88" s="74"/>
      <c r="L88" s="74"/>
    </row>
    <row r="89" spans="2:12" ht="22.5" customHeight="1" hidden="1">
      <c r="B89" s="190" t="s">
        <v>60</v>
      </c>
      <c r="C89" s="191"/>
      <c r="D89" s="86">
        <v>0</v>
      </c>
      <c r="E89" s="56" t="s">
        <v>24</v>
      </c>
      <c r="F89" s="167"/>
      <c r="G89" s="192"/>
      <c r="H89" s="192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92"/>
      <c r="O90" s="192"/>
    </row>
    <row r="91" spans="4:15" ht="15">
      <c r="D91" s="83"/>
      <c r="I91" s="31"/>
      <c r="N91" s="193"/>
      <c r="O91" s="193"/>
    </row>
    <row r="92" spans="14:15" ht="15">
      <c r="N92" s="192"/>
      <c r="O92" s="192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2016-04-28T12:40:03Z</cp:lastPrinted>
  <dcterms:created xsi:type="dcterms:W3CDTF">2003-07-28T11:27:56Z</dcterms:created>
  <dcterms:modified xsi:type="dcterms:W3CDTF">2016-04-28T12:50:47Z</dcterms:modified>
  <cp:category/>
  <cp:version/>
  <cp:contentType/>
  <cp:contentStatus/>
</cp:coreProperties>
</file>